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8615" windowHeight="6165" activeTab="0"/>
  </bookViews>
  <sheets>
    <sheet name="example" sheetId="1" r:id="rId1"/>
  </sheets>
  <definedNames>
    <definedName name="constraints">'example'!$C$23:$S$23</definedName>
    <definedName name="constraintsMax">'example'!$C$25:$S$25</definedName>
    <definedName name="constraintsMin">'example'!$C$24:$S$24</definedName>
    <definedName name="constraintsNames">'example'!$C$22:$S$22</definedName>
    <definedName name="flatList">'example'!$U$4:$W$55</definedName>
    <definedName name="flatListQ">'example'!$V$4:$V$55</definedName>
    <definedName name="flatListQMax">'example'!$W$4:$W$55</definedName>
    <definedName name="products">'example'!$B$4:$B$16</definedName>
    <definedName name="quantities">'example'!$E$4:$E$16</definedName>
    <definedName name="quantitiesMax">'example'!$D$4:$D$16</definedName>
    <definedName name="quantitiesMin">'example'!$C$4:$C$16</definedName>
    <definedName name="solver_adj" localSheetId="0" hidden="1">'example'!$E$4:$E$16</definedName>
    <definedName name="solver_cvg" localSheetId="0" hidden="1">0.000001</definedName>
    <definedName name="solver_drv" localSheetId="0" hidden="1">2</definedName>
    <definedName name="solver_eng" localSheetId="0" hidden="1">2</definedName>
    <definedName name="solver_est" localSheetId="0" hidden="1">1</definedName>
    <definedName name="solver_itr" localSheetId="0" hidden="1">1000</definedName>
    <definedName name="solver_lhs1" localSheetId="0" hidden="1">'example'!$V$4:$V$55</definedName>
    <definedName name="solver_lhs2" localSheetId="0" hidden="1">'example'!$E$4:$E$16</definedName>
    <definedName name="solver_lhs3" localSheetId="0" hidden="1">'example'!#REF!</definedName>
    <definedName name="solver_lhs4" localSheetId="0" hidden="1">'example'!#REF!</definedName>
    <definedName name="solver_lin" localSheetId="0" hidden="1">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1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'example'!$G$17</definedName>
    <definedName name="solver_pre" localSheetId="0" hidden="1">0.000001</definedName>
    <definedName name="solver_rbv" localSheetId="0" hidden="1">2</definedName>
    <definedName name="solver_rel1" localSheetId="0" hidden="1">1</definedName>
    <definedName name="solver_rel2" localSheetId="0" hidden="1">3</definedName>
    <definedName name="solver_rel3" localSheetId="0" hidden="1">3</definedName>
    <definedName name="solver_rel4" localSheetId="0" hidden="1">3</definedName>
    <definedName name="solver_rhs1" localSheetId="0" hidden="1">flatListQMax</definedName>
    <definedName name="solver_rhs2" localSheetId="0" hidden="1">0</definedName>
    <definedName name="solver_rhs3" localSheetId="0" hidden="1">0</definedName>
    <definedName name="solver_rhs4" localSheetId="0" hidden="1">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30</definedName>
    <definedName name="solver_tim" localSheetId="0" hidden="1">30</definedName>
    <definedName name="solver_tol" localSheetId="0" hidden="1">0.00000001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fullCalcOnLoad="1"/>
</workbook>
</file>

<file path=xl/sharedStrings.xml><?xml version="1.0" encoding="utf-8"?>
<sst xmlns="http://schemas.openxmlformats.org/spreadsheetml/2006/main" count="66" uniqueCount="64">
  <si>
    <t>product</t>
  </si>
  <si>
    <t>min</t>
  </si>
  <si>
    <t>max</t>
  </si>
  <si>
    <t>tons</t>
  </si>
  <si>
    <t>LOI</t>
  </si>
  <si>
    <t>clinker</t>
  </si>
  <si>
    <t>SiO2</t>
  </si>
  <si>
    <t>Al2O3</t>
  </si>
  <si>
    <t>Fe2O3</t>
  </si>
  <si>
    <t>CaO</t>
  </si>
  <si>
    <t>MgO</t>
  </si>
  <si>
    <t>CO2</t>
  </si>
  <si>
    <t>Cl</t>
  </si>
  <si>
    <t>SO3</t>
  </si>
  <si>
    <t>Na2O</t>
  </si>
  <si>
    <t>K2O</t>
  </si>
  <si>
    <t>GJ</t>
  </si>
  <si>
    <t>cost</t>
  </si>
  <si>
    <t>Limestone I</t>
  </si>
  <si>
    <t>Limestone II</t>
  </si>
  <si>
    <t>Limestone III</t>
  </si>
  <si>
    <t>Clay</t>
  </si>
  <si>
    <t>Shale</t>
  </si>
  <si>
    <t>Fly ash</t>
  </si>
  <si>
    <t>Sand</t>
  </si>
  <si>
    <t>Bauxite</t>
  </si>
  <si>
    <t>Iron ore</t>
  </si>
  <si>
    <t>Iron source</t>
  </si>
  <si>
    <t>Coal</t>
  </si>
  <si>
    <t>Plastics</t>
  </si>
  <si>
    <t>Coke</t>
  </si>
  <si>
    <t>LSF</t>
  </si>
  <si>
    <t>c3s</t>
  </si>
  <si>
    <t>c3a</t>
  </si>
  <si>
    <t>liq</t>
  </si>
  <si>
    <t>sulf</t>
  </si>
  <si>
    <t>GJ/tcl</t>
  </si>
  <si>
    <t>cost/tcl</t>
  </si>
  <si>
    <t>tcl</t>
  </si>
  <si>
    <t>quantity</t>
  </si>
  <si>
    <t>value</t>
  </si>
  <si>
    <t>Q</t>
  </si>
  <si>
    <t>Qmax</t>
  </si>
  <si>
    <t>max Plastics</t>
  </si>
  <si>
    <t>constraints</t>
  </si>
  <si>
    <t>min tcl</t>
  </si>
  <si>
    <t>max tcl</t>
  </si>
  <si>
    <t>min GJ/tcl</t>
  </si>
  <si>
    <t>max GJ/tcl</t>
  </si>
  <si>
    <t>min LSF</t>
  </si>
  <si>
    <t>max LSF</t>
  </si>
  <si>
    <t>min c3a</t>
  </si>
  <si>
    <t>max c3a</t>
  </si>
  <si>
    <t>min liq</t>
  </si>
  <si>
    <t>max liq</t>
  </si>
  <si>
    <t>Constraints</t>
  </si>
  <si>
    <t>Bounds</t>
  </si>
  <si>
    <t>SO3/tcl</t>
  </si>
  <si>
    <t>Balances</t>
  </si>
  <si>
    <t>Constraints summary</t>
  </si>
  <si>
    <t>Totals</t>
  </si>
  <si>
    <t>Totals Raw Materials</t>
  </si>
  <si>
    <t>Totals Fuels</t>
  </si>
  <si>
    <t>GJ/t fuel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</si>
</sst>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#,##0.0000"/>
    <numFmt numFmtId="166" formatCode="#,##0.00000"/>
    <numFmt numFmtId="167" formatCode="#,##0.000"/>
    <numFmt numFmtId="168" formatCode="0.000000"/>
  </numFmts>
  <fonts count="22">
    <font>
      <sz val="10"/>
      <name val="Arial"/>
      <family val="0"/>
    </font>
    <font>
      <sz val="8"/>
      <color indexed="8"/>
      <name val="Tahoma"/>
      <family val="2"/>
    </font>
    <font>
      <sz val="8"/>
      <name val="Arial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u val="single"/>
      <sz val="10"/>
      <color indexed="5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7"/>
      <name val="Tahoma"/>
      <family val="2"/>
    </font>
    <font>
      <sz val="8"/>
      <color indexed="20"/>
      <name val="Tahoma"/>
      <family val="2"/>
    </font>
    <font>
      <sz val="8"/>
      <color indexed="60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sz val="8"/>
      <color indexed="52"/>
      <name val="Tahoma"/>
      <family val="2"/>
    </font>
    <font>
      <b/>
      <sz val="8"/>
      <color indexed="9"/>
      <name val="Tahoma"/>
      <family val="2"/>
    </font>
    <font>
      <sz val="8"/>
      <color indexed="10"/>
      <name val="Tahoma"/>
      <family val="2"/>
    </font>
    <font>
      <i/>
      <sz val="8"/>
      <color indexed="23"/>
      <name val="Tahoma"/>
      <family val="2"/>
    </font>
    <font>
      <b/>
      <sz val="8"/>
      <color indexed="8"/>
      <name val="Tahoma"/>
      <family val="2"/>
    </font>
    <font>
      <sz val="8"/>
      <color indexed="9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 style="thin">
        <color indexed="55"/>
      </right>
      <top style="thin"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/>
    </border>
    <border>
      <left style="thin"/>
      <right>
        <color indexed="63"/>
      </right>
      <top style="thin"/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/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/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 style="thin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3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3" fontId="4" fillId="4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2" fontId="4" fillId="0" borderId="10" xfId="57" applyNumberFormat="1" applyFont="1" applyFill="1" applyBorder="1" applyAlignment="1">
      <alignment horizontal="right"/>
    </xf>
    <xf numFmtId="168" fontId="4" fillId="0" borderId="10" xfId="57" applyNumberFormat="1" applyFont="1" applyFill="1" applyBorder="1" applyAlignment="1">
      <alignment horizontal="right"/>
    </xf>
    <xf numFmtId="164" fontId="4" fillId="0" borderId="10" xfId="57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/>
    </xf>
    <xf numFmtId="166" fontId="4" fillId="0" borderId="1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right"/>
    </xf>
    <xf numFmtId="2" fontId="4" fillId="0" borderId="11" xfId="57" applyNumberFormat="1" applyFont="1" applyFill="1" applyBorder="1" applyAlignment="1">
      <alignment horizontal="right"/>
    </xf>
    <xf numFmtId="168" fontId="4" fillId="0" borderId="11" xfId="57" applyNumberFormat="1" applyFont="1" applyFill="1" applyBorder="1" applyAlignment="1">
      <alignment horizontal="right"/>
    </xf>
    <xf numFmtId="164" fontId="4" fillId="0" borderId="11" xfId="57" applyNumberFormat="1" applyFont="1" applyFill="1" applyBorder="1" applyAlignment="1">
      <alignment horizontal="right"/>
    </xf>
    <xf numFmtId="2" fontId="4" fillId="0" borderId="12" xfId="0" applyNumberFormat="1" applyFont="1" applyFill="1" applyBorder="1" applyAlignment="1">
      <alignment horizontal="right"/>
    </xf>
    <xf numFmtId="2" fontId="4" fillId="0" borderId="13" xfId="0" applyNumberFormat="1" applyFont="1" applyFill="1" applyBorder="1" applyAlignment="1">
      <alignment horizontal="right"/>
    </xf>
    <xf numFmtId="3" fontId="4" fillId="4" borderId="14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 horizontal="right"/>
    </xf>
    <xf numFmtId="2" fontId="4" fillId="0" borderId="15" xfId="57" applyNumberFormat="1" applyFont="1" applyFill="1" applyBorder="1" applyAlignment="1">
      <alignment horizontal="right"/>
    </xf>
    <xf numFmtId="168" fontId="4" fillId="0" borderId="15" xfId="57" applyNumberFormat="1" applyFont="1" applyFill="1" applyBorder="1" applyAlignment="1">
      <alignment horizontal="right"/>
    </xf>
    <xf numFmtId="164" fontId="4" fillId="0" borderId="15" xfId="57" applyNumberFormat="1" applyFont="1" applyFill="1" applyBorder="1" applyAlignment="1">
      <alignment horizontal="right"/>
    </xf>
    <xf numFmtId="2" fontId="4" fillId="0" borderId="16" xfId="0" applyNumberFormat="1" applyFont="1" applyFill="1" applyBorder="1" applyAlignment="1">
      <alignment horizontal="right"/>
    </xf>
    <xf numFmtId="3" fontId="3" fillId="4" borderId="17" xfId="0" applyNumberFormat="1" applyFont="1" applyFill="1" applyBorder="1" applyAlignment="1">
      <alignment/>
    </xf>
    <xf numFmtId="3" fontId="3" fillId="4" borderId="11" xfId="0" applyNumberFormat="1" applyFont="1" applyFill="1" applyBorder="1" applyAlignment="1">
      <alignment/>
    </xf>
    <xf numFmtId="3" fontId="3" fillId="4" borderId="12" xfId="0" applyNumberFormat="1" applyFont="1" applyFill="1" applyBorder="1" applyAlignment="1">
      <alignment/>
    </xf>
    <xf numFmtId="3" fontId="4" fillId="4" borderId="15" xfId="0" applyNumberFormat="1" applyFont="1" applyFill="1" applyBorder="1" applyAlignment="1">
      <alignment horizontal="center"/>
    </xf>
    <xf numFmtId="3" fontId="4" fillId="23" borderId="15" xfId="0" applyNumberFormat="1" applyFont="1" applyFill="1" applyBorder="1" applyAlignment="1">
      <alignment horizontal="center"/>
    </xf>
    <xf numFmtId="3" fontId="4" fillId="23" borderId="16" xfId="0" applyNumberFormat="1" applyFont="1" applyFill="1" applyBorder="1" applyAlignment="1">
      <alignment horizontal="center"/>
    </xf>
    <xf numFmtId="3" fontId="4" fillId="4" borderId="11" xfId="57" applyNumberFormat="1" applyFont="1" applyFill="1" applyBorder="1" applyAlignment="1">
      <alignment horizontal="right"/>
    </xf>
    <xf numFmtId="3" fontId="4" fillId="4" borderId="12" xfId="0" applyNumberFormat="1" applyFont="1" applyFill="1" applyBorder="1" applyAlignment="1">
      <alignment horizontal="right"/>
    </xf>
    <xf numFmtId="3" fontId="4" fillId="4" borderId="18" xfId="0" applyNumberFormat="1" applyFont="1" applyFill="1" applyBorder="1" applyAlignment="1">
      <alignment horizontal="center"/>
    </xf>
    <xf numFmtId="3" fontId="4" fillId="4" borderId="13" xfId="0" applyNumberFormat="1" applyFont="1" applyFill="1" applyBorder="1" applyAlignment="1">
      <alignment horizontal="right"/>
    </xf>
    <xf numFmtId="3" fontId="4" fillId="4" borderId="15" xfId="0" applyNumberFormat="1" applyFont="1" applyFill="1" applyBorder="1" applyAlignment="1">
      <alignment horizontal="right"/>
    </xf>
    <xf numFmtId="3" fontId="4" fillId="4" borderId="16" xfId="0" applyNumberFormat="1" applyFont="1" applyFill="1" applyBorder="1" applyAlignment="1">
      <alignment horizontal="right"/>
    </xf>
    <xf numFmtId="3" fontId="4" fillId="4" borderId="19" xfId="0" applyNumberFormat="1" applyFont="1" applyFill="1" applyBorder="1" applyAlignment="1">
      <alignment/>
    </xf>
    <xf numFmtId="3" fontId="4" fillId="4" borderId="20" xfId="0" applyNumberFormat="1" applyFont="1" applyFill="1" applyBorder="1" applyAlignment="1">
      <alignment/>
    </xf>
    <xf numFmtId="3" fontId="4" fillId="4" borderId="21" xfId="0" applyNumberFormat="1" applyFont="1" applyFill="1" applyBorder="1" applyAlignment="1">
      <alignment/>
    </xf>
    <xf numFmtId="3" fontId="3" fillId="4" borderId="22" xfId="0" applyNumberFormat="1" applyFont="1" applyFill="1" applyBorder="1" applyAlignment="1">
      <alignment/>
    </xf>
    <xf numFmtId="3" fontId="4" fillId="23" borderId="23" xfId="0" applyNumberFormat="1" applyFont="1" applyFill="1" applyBorder="1" applyAlignment="1">
      <alignment horizontal="center"/>
    </xf>
    <xf numFmtId="2" fontId="4" fillId="0" borderId="22" xfId="57" applyNumberFormat="1" applyFont="1" applyFill="1" applyBorder="1" applyAlignment="1">
      <alignment horizontal="right"/>
    </xf>
    <xf numFmtId="2" fontId="4" fillId="0" borderId="24" xfId="57" applyNumberFormat="1" applyFont="1" applyFill="1" applyBorder="1" applyAlignment="1">
      <alignment horizontal="right"/>
    </xf>
    <xf numFmtId="2" fontId="4" fillId="0" borderId="23" xfId="57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right"/>
    </xf>
    <xf numFmtId="3" fontId="4" fillId="4" borderId="22" xfId="0" applyNumberFormat="1" applyFont="1" applyFill="1" applyBorder="1" applyAlignment="1">
      <alignment horizontal="right"/>
    </xf>
    <xf numFmtId="3" fontId="4" fillId="4" borderId="24" xfId="0" applyNumberFormat="1" applyFont="1" applyFill="1" applyBorder="1" applyAlignment="1">
      <alignment horizontal="right"/>
    </xf>
    <xf numFmtId="3" fontId="4" fillId="4" borderId="23" xfId="0" applyNumberFormat="1" applyFont="1" applyFill="1" applyBorder="1" applyAlignment="1">
      <alignment horizontal="right"/>
    </xf>
    <xf numFmtId="166" fontId="4" fillId="0" borderId="13" xfId="0" applyNumberFormat="1" applyFont="1" applyFill="1" applyBorder="1" applyAlignment="1">
      <alignment horizontal="right"/>
    </xf>
    <xf numFmtId="4" fontId="4" fillId="0" borderId="15" xfId="0" applyNumberFormat="1" applyFont="1" applyFill="1" applyBorder="1" applyAlignment="1">
      <alignment horizontal="right"/>
    </xf>
    <xf numFmtId="166" fontId="4" fillId="0" borderId="15" xfId="0" applyNumberFormat="1" applyFont="1" applyFill="1" applyBorder="1" applyAlignment="1">
      <alignment horizontal="right"/>
    </xf>
    <xf numFmtId="166" fontId="4" fillId="0" borderId="16" xfId="0" applyNumberFormat="1" applyFont="1" applyFill="1" applyBorder="1" applyAlignment="1">
      <alignment horizontal="right"/>
    </xf>
    <xf numFmtId="3" fontId="4" fillId="4" borderId="25" xfId="0" applyNumberFormat="1" applyFont="1" applyFill="1" applyBorder="1" applyAlignment="1">
      <alignment/>
    </xf>
    <xf numFmtId="3" fontId="4" fillId="0" borderId="26" xfId="0" applyNumberFormat="1" applyFont="1" applyFill="1" applyBorder="1" applyAlignment="1">
      <alignment horizontal="right"/>
    </xf>
    <xf numFmtId="3" fontId="4" fillId="0" borderId="27" xfId="0" applyNumberFormat="1" applyFont="1" applyFill="1" applyBorder="1" applyAlignment="1">
      <alignment horizontal="right"/>
    </xf>
    <xf numFmtId="3" fontId="4" fillId="0" borderId="28" xfId="0" applyNumberFormat="1" applyFont="1" applyFill="1" applyBorder="1" applyAlignment="1">
      <alignment horizontal="right"/>
    </xf>
    <xf numFmtId="2" fontId="4" fillId="0" borderId="29" xfId="57" applyNumberFormat="1" applyFont="1" applyFill="1" applyBorder="1" applyAlignment="1">
      <alignment horizontal="right"/>
    </xf>
    <xf numFmtId="2" fontId="4" fillId="0" borderId="27" xfId="57" applyNumberFormat="1" applyFont="1" applyFill="1" applyBorder="1" applyAlignment="1">
      <alignment horizontal="right"/>
    </xf>
    <xf numFmtId="168" fontId="4" fillId="0" borderId="27" xfId="57" applyNumberFormat="1" applyFont="1" applyFill="1" applyBorder="1" applyAlignment="1">
      <alignment horizontal="right"/>
    </xf>
    <xf numFmtId="164" fontId="4" fillId="0" borderId="27" xfId="57" applyNumberFormat="1" applyFont="1" applyFill="1" applyBorder="1" applyAlignment="1">
      <alignment horizontal="right"/>
    </xf>
    <xf numFmtId="2" fontId="4" fillId="0" borderId="2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166" fontId="4" fillId="0" borderId="27" xfId="0" applyNumberFormat="1" applyFont="1" applyFill="1" applyBorder="1" applyAlignment="1">
      <alignment horizontal="right"/>
    </xf>
    <xf numFmtId="167" fontId="4" fillId="0" borderId="27" xfId="0" applyNumberFormat="1" applyFont="1" applyFill="1" applyBorder="1" applyAlignment="1">
      <alignment horizontal="right"/>
    </xf>
    <xf numFmtId="3" fontId="4" fillId="0" borderId="29" xfId="0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 horizontal="right"/>
    </xf>
    <xf numFmtId="3" fontId="4" fillId="0" borderId="23" xfId="0" applyNumberFormat="1" applyFont="1" applyFill="1" applyBorder="1" applyAlignment="1">
      <alignment horizontal="right"/>
    </xf>
    <xf numFmtId="3" fontId="3" fillId="4" borderId="30" xfId="0" applyNumberFormat="1" applyFont="1" applyFill="1" applyBorder="1" applyAlignment="1">
      <alignment/>
    </xf>
    <xf numFmtId="3" fontId="4" fillId="4" borderId="31" xfId="0" applyNumberFormat="1" applyFont="1" applyFill="1" applyBorder="1" applyAlignment="1">
      <alignment/>
    </xf>
    <xf numFmtId="3" fontId="4" fillId="4" borderId="32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 horizontal="left"/>
    </xf>
    <xf numFmtId="3" fontId="4" fillId="0" borderId="14" xfId="0" applyNumberFormat="1" applyFont="1" applyFill="1" applyBorder="1" applyAlignment="1">
      <alignment horizontal="left"/>
    </xf>
    <xf numFmtId="3" fontId="3" fillId="4" borderId="17" xfId="0" applyNumberFormat="1" applyFont="1" applyFill="1" applyBorder="1" applyAlignment="1">
      <alignment horizontal="center"/>
    </xf>
    <xf numFmtId="3" fontId="3" fillId="4" borderId="11" xfId="0" applyNumberFormat="1" applyFont="1" applyFill="1" applyBorder="1" applyAlignment="1">
      <alignment horizontal="center"/>
    </xf>
    <xf numFmtId="3" fontId="3" fillId="4" borderId="12" xfId="0" applyNumberFormat="1" applyFont="1" applyFill="1" applyBorder="1" applyAlignment="1">
      <alignment horizontal="center"/>
    </xf>
    <xf numFmtId="3" fontId="4" fillId="4" borderId="17" xfId="0" applyNumberFormat="1" applyFont="1" applyFill="1" applyBorder="1" applyAlignment="1">
      <alignment horizontal="center"/>
    </xf>
    <xf numFmtId="3" fontId="4" fillId="4" borderId="11" xfId="0" applyNumberFormat="1" applyFont="1" applyFill="1" applyBorder="1" applyAlignment="1">
      <alignment horizontal="center"/>
    </xf>
    <xf numFmtId="3" fontId="4" fillId="4" borderId="18" xfId="0" applyNumberFormat="1" applyFont="1" applyFill="1" applyBorder="1" applyAlignment="1">
      <alignment horizontal="center"/>
    </xf>
    <xf numFmtId="3" fontId="4" fillId="4" borderId="10" xfId="0" applyNumberFormat="1" applyFont="1" applyFill="1" applyBorder="1" applyAlignment="1">
      <alignment horizontal="center"/>
    </xf>
    <xf numFmtId="3" fontId="4" fillId="4" borderId="14" xfId="0" applyNumberFormat="1" applyFont="1" applyFill="1" applyBorder="1" applyAlignment="1">
      <alignment horizontal="center"/>
    </xf>
    <xf numFmtId="3" fontId="4" fillId="4" borderId="15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26</xdr:row>
      <xdr:rowOff>9525</xdr:rowOff>
    </xdr:from>
    <xdr:to>
      <xdr:col>4</xdr:col>
      <xdr:colOff>133350</xdr:colOff>
      <xdr:row>29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219575"/>
          <a:ext cx="1885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30</xdr:row>
      <xdr:rowOff>9525</xdr:rowOff>
    </xdr:from>
    <xdr:to>
      <xdr:col>16</xdr:col>
      <xdr:colOff>361950</xdr:colOff>
      <xdr:row>31</xdr:row>
      <xdr:rowOff>104775</xdr:rowOff>
    </xdr:to>
    <xdr:pic>
      <xdr:nvPicPr>
        <xdr:cNvPr id="2" name="solveStatusBo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4867275"/>
          <a:ext cx="7915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W55"/>
  <sheetViews>
    <sheetView showGridLines="0" tabSelected="1" zoomScalePageLayoutView="0" workbookViewId="0" topLeftCell="A1">
      <selection activeCell="A1" sqref="A1"/>
    </sheetView>
  </sheetViews>
  <sheetFormatPr defaultColWidth="7.00390625" defaultRowHeight="12.75"/>
  <cols>
    <col min="1" max="1" width="1.7109375" style="1" customWidth="1"/>
    <col min="2" max="2" width="11.00390625" style="9" bestFit="1" customWidth="1"/>
    <col min="3" max="5" width="7.8515625" style="1" bestFit="1" customWidth="1"/>
    <col min="6" max="6" width="8.421875" style="1" bestFit="1" customWidth="1"/>
    <col min="7" max="7" width="9.57421875" style="1" bestFit="1" customWidth="1"/>
    <col min="8" max="8" width="7.8515625" style="1" bestFit="1" customWidth="1"/>
    <col min="9" max="9" width="6.57421875" style="1" bestFit="1" customWidth="1"/>
    <col min="10" max="10" width="5.8515625" style="1" bestFit="1" customWidth="1"/>
    <col min="11" max="11" width="6.57421875" style="1" bestFit="1" customWidth="1"/>
    <col min="12" max="12" width="7.8515625" style="1" bestFit="1" customWidth="1"/>
    <col min="13" max="13" width="5.7109375" style="1" bestFit="1" customWidth="1"/>
    <col min="14" max="14" width="7.8515625" style="1" bestFit="1" customWidth="1"/>
    <col min="15" max="15" width="7.421875" style="1" bestFit="1" customWidth="1"/>
    <col min="16" max="18" width="5.7109375" style="1" bestFit="1" customWidth="1"/>
    <col min="19" max="19" width="7.8515625" style="1" bestFit="1" customWidth="1"/>
    <col min="20" max="20" width="2.7109375" style="1" customWidth="1"/>
    <col min="21" max="21" width="14.421875" style="1" bestFit="1" customWidth="1"/>
    <col min="22" max="23" width="8.421875" style="1" bestFit="1" customWidth="1"/>
    <col min="24" max="16384" width="7.00390625" style="1" customWidth="1"/>
  </cols>
  <sheetData>
    <row r="2" spans="2:23" ht="12.75">
      <c r="B2" s="26"/>
      <c r="C2" s="27" t="s">
        <v>56</v>
      </c>
      <c r="D2" s="27"/>
      <c r="E2" s="27"/>
      <c r="F2" s="27" t="s">
        <v>58</v>
      </c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8"/>
      <c r="U2" s="77" t="s">
        <v>59</v>
      </c>
      <c r="V2" s="78"/>
      <c r="W2" s="79"/>
    </row>
    <row r="3" spans="2:23" ht="12.75">
      <c r="B3" s="20" t="s">
        <v>0</v>
      </c>
      <c r="C3" s="29" t="s">
        <v>1</v>
      </c>
      <c r="D3" s="29" t="s">
        <v>2</v>
      </c>
      <c r="E3" s="29" t="s">
        <v>3</v>
      </c>
      <c r="F3" s="30" t="s">
        <v>5</v>
      </c>
      <c r="G3" s="30" t="s">
        <v>17</v>
      </c>
      <c r="H3" s="30" t="s">
        <v>4</v>
      </c>
      <c r="I3" s="30" t="s">
        <v>6</v>
      </c>
      <c r="J3" s="30" t="s">
        <v>7</v>
      </c>
      <c r="K3" s="30" t="s">
        <v>8</v>
      </c>
      <c r="L3" s="30" t="s">
        <v>9</v>
      </c>
      <c r="M3" s="30" t="s">
        <v>10</v>
      </c>
      <c r="N3" s="30" t="s">
        <v>11</v>
      </c>
      <c r="O3" s="30" t="s">
        <v>12</v>
      </c>
      <c r="P3" s="30" t="s">
        <v>13</v>
      </c>
      <c r="Q3" s="30" t="s">
        <v>14</v>
      </c>
      <c r="R3" s="30" t="s">
        <v>15</v>
      </c>
      <c r="S3" s="31" t="s">
        <v>16</v>
      </c>
      <c r="T3" s="2"/>
      <c r="U3" s="34" t="s">
        <v>44</v>
      </c>
      <c r="V3" s="3" t="s">
        <v>41</v>
      </c>
      <c r="W3" s="35" t="s">
        <v>42</v>
      </c>
    </row>
    <row r="4" spans="2:23" ht="12.75">
      <c r="B4" s="57" t="s">
        <v>18</v>
      </c>
      <c r="C4" s="58"/>
      <c r="D4" s="59"/>
      <c r="E4" s="60">
        <v>0</v>
      </c>
      <c r="F4" s="61">
        <v>0.575</v>
      </c>
      <c r="G4" s="59">
        <v>12</v>
      </c>
      <c r="H4" s="62">
        <v>0.425</v>
      </c>
      <c r="I4" s="62">
        <v>0.02</v>
      </c>
      <c r="J4" s="62">
        <v>0.01</v>
      </c>
      <c r="K4" s="62">
        <v>0.005</v>
      </c>
      <c r="L4" s="62">
        <v>0.53</v>
      </c>
      <c r="M4" s="62">
        <v>0.005</v>
      </c>
      <c r="N4" s="62">
        <v>0.42188762850053174</v>
      </c>
      <c r="O4" s="63">
        <v>1E-05</v>
      </c>
      <c r="P4" s="64">
        <v>0.0002</v>
      </c>
      <c r="Q4" s="64">
        <v>0.0003</v>
      </c>
      <c r="R4" s="64">
        <v>0.0003</v>
      </c>
      <c r="S4" s="65">
        <v>0</v>
      </c>
      <c r="T4" s="2"/>
      <c r="U4" s="75" t="s">
        <v>43</v>
      </c>
      <c r="V4" s="4">
        <f>$E$16</f>
        <v>20000</v>
      </c>
      <c r="W4" s="47">
        <v>20000</v>
      </c>
    </row>
    <row r="5" spans="2:23" ht="12.75">
      <c r="B5" s="40" t="s">
        <v>19</v>
      </c>
      <c r="C5" s="46"/>
      <c r="D5" s="4"/>
      <c r="E5" s="47">
        <v>1384706.7713210098</v>
      </c>
      <c r="F5" s="44">
        <v>0.61</v>
      </c>
      <c r="G5" s="4">
        <v>11</v>
      </c>
      <c r="H5" s="5">
        <v>0.39</v>
      </c>
      <c r="I5" s="5">
        <v>0.1</v>
      </c>
      <c r="J5" s="5">
        <v>0.02</v>
      </c>
      <c r="K5" s="5">
        <v>0.015</v>
      </c>
      <c r="L5" s="5">
        <v>0.47</v>
      </c>
      <c r="M5" s="5">
        <v>0.007</v>
      </c>
      <c r="N5" s="5">
        <v>0.3769283941864587</v>
      </c>
      <c r="O5" s="6">
        <v>0</v>
      </c>
      <c r="P5" s="7">
        <v>0.004</v>
      </c>
      <c r="Q5" s="7">
        <v>0.0007</v>
      </c>
      <c r="R5" s="7">
        <v>0.004</v>
      </c>
      <c r="S5" s="19">
        <v>0</v>
      </c>
      <c r="T5" s="2"/>
      <c r="U5" s="75" t="s">
        <v>45</v>
      </c>
      <c r="V5" s="4">
        <f>-F17</f>
        <v>-1799999.9999999998</v>
      </c>
      <c r="W5" s="47">
        <v>-1800000</v>
      </c>
    </row>
    <row r="6" spans="2:23" ht="12.75">
      <c r="B6" s="40" t="s">
        <v>20</v>
      </c>
      <c r="C6" s="46"/>
      <c r="D6" s="4"/>
      <c r="E6" s="47">
        <v>1355839.8826049573</v>
      </c>
      <c r="F6" s="44">
        <v>0.66</v>
      </c>
      <c r="G6" s="4">
        <v>10</v>
      </c>
      <c r="H6" s="5">
        <v>0.34</v>
      </c>
      <c r="I6" s="5">
        <v>0.15</v>
      </c>
      <c r="J6" s="5">
        <v>0.04</v>
      </c>
      <c r="K6" s="5">
        <v>0.02</v>
      </c>
      <c r="L6" s="5">
        <v>0.42</v>
      </c>
      <c r="M6" s="5">
        <v>0.008</v>
      </c>
      <c r="N6" s="5">
        <v>0.33873449131513644</v>
      </c>
      <c r="O6" s="6">
        <v>0</v>
      </c>
      <c r="P6" s="7">
        <v>0.007</v>
      </c>
      <c r="Q6" s="7">
        <v>0.004</v>
      </c>
      <c r="R6" s="7">
        <v>0.008</v>
      </c>
      <c r="S6" s="19">
        <v>0</v>
      </c>
      <c r="T6" s="2"/>
      <c r="U6" s="75" t="s">
        <v>46</v>
      </c>
      <c r="V6" s="4">
        <f>F17</f>
        <v>1799999.9999999998</v>
      </c>
      <c r="W6" s="47">
        <v>1800000</v>
      </c>
    </row>
    <row r="7" spans="2:23" ht="12.75">
      <c r="B7" s="40" t="s">
        <v>21</v>
      </c>
      <c r="C7" s="46"/>
      <c r="D7" s="4"/>
      <c r="E7" s="47">
        <v>0</v>
      </c>
      <c r="F7" s="44">
        <v>0.96</v>
      </c>
      <c r="G7" s="4">
        <v>80</v>
      </c>
      <c r="H7" s="5">
        <v>0.04</v>
      </c>
      <c r="I7" s="5">
        <v>0.6</v>
      </c>
      <c r="J7" s="5">
        <v>0.21</v>
      </c>
      <c r="K7" s="5">
        <v>0.04</v>
      </c>
      <c r="L7" s="5">
        <v>0</v>
      </c>
      <c r="M7" s="5">
        <v>0.012</v>
      </c>
      <c r="N7" s="5">
        <v>0.013101736972704716</v>
      </c>
      <c r="O7" s="6">
        <v>0</v>
      </c>
      <c r="P7" s="7">
        <v>0.01</v>
      </c>
      <c r="Q7" s="7">
        <v>0.006</v>
      </c>
      <c r="R7" s="7">
        <v>0.04</v>
      </c>
      <c r="S7" s="19">
        <v>0</v>
      </c>
      <c r="T7" s="2"/>
      <c r="U7" s="75" t="s">
        <v>47</v>
      </c>
      <c r="V7" s="4">
        <f>3.2*(F17)-(S17)</f>
        <v>0</v>
      </c>
      <c r="W7" s="47">
        <v>0</v>
      </c>
    </row>
    <row r="8" spans="2:23" ht="12.75">
      <c r="B8" s="40" t="s">
        <v>22</v>
      </c>
      <c r="C8" s="46"/>
      <c r="D8" s="4"/>
      <c r="E8" s="47">
        <v>0</v>
      </c>
      <c r="F8" s="44">
        <v>0.93</v>
      </c>
      <c r="G8" s="4">
        <v>50</v>
      </c>
      <c r="H8" s="5">
        <v>0.07</v>
      </c>
      <c r="I8" s="5">
        <v>0.6</v>
      </c>
      <c r="J8" s="5">
        <v>0.16</v>
      </c>
      <c r="K8" s="5">
        <v>0.04</v>
      </c>
      <c r="L8" s="5">
        <v>0.03</v>
      </c>
      <c r="M8" s="5">
        <v>0.03</v>
      </c>
      <c r="N8" s="5">
        <v>0.056325771003190354</v>
      </c>
      <c r="O8" s="6">
        <v>0</v>
      </c>
      <c r="P8" s="7">
        <v>0.007</v>
      </c>
      <c r="Q8" s="7">
        <v>0.01</v>
      </c>
      <c r="R8" s="7">
        <v>0.03</v>
      </c>
      <c r="S8" s="19">
        <v>0</v>
      </c>
      <c r="T8" s="2"/>
      <c r="U8" s="75" t="s">
        <v>48</v>
      </c>
      <c r="V8" s="4">
        <f>(S17)-3.2*(F17)</f>
        <v>0</v>
      </c>
      <c r="W8" s="47">
        <v>0</v>
      </c>
    </row>
    <row r="9" spans="2:23" ht="12.75">
      <c r="B9" s="40" t="s">
        <v>23</v>
      </c>
      <c r="C9" s="46"/>
      <c r="D9" s="4"/>
      <c r="E9" s="47">
        <v>0</v>
      </c>
      <c r="F9" s="44">
        <v>0.98</v>
      </c>
      <c r="G9" s="4">
        <v>25</v>
      </c>
      <c r="H9" s="5">
        <v>0.02</v>
      </c>
      <c r="I9" s="5">
        <v>0.49</v>
      </c>
      <c r="J9" s="5">
        <v>0.26</v>
      </c>
      <c r="K9" s="5">
        <v>0.05</v>
      </c>
      <c r="L9" s="5">
        <v>0.05</v>
      </c>
      <c r="M9" s="5">
        <v>0.01</v>
      </c>
      <c r="N9" s="5">
        <v>0.05020382842963488</v>
      </c>
      <c r="O9" s="6">
        <v>0</v>
      </c>
      <c r="P9" s="7">
        <v>0.006</v>
      </c>
      <c r="Q9" s="7">
        <v>0</v>
      </c>
      <c r="R9" s="7">
        <v>0.012</v>
      </c>
      <c r="S9" s="19">
        <v>0</v>
      </c>
      <c r="T9" s="2"/>
      <c r="U9" s="75" t="s">
        <v>49</v>
      </c>
      <c r="V9" s="4">
        <f>98*((2.8*I17+1.18*J17+0.65*K17))-(100*L17)</f>
        <v>0</v>
      </c>
      <c r="W9" s="47">
        <v>0</v>
      </c>
    </row>
    <row r="10" spans="2:23" ht="12.75">
      <c r="B10" s="40" t="s">
        <v>24</v>
      </c>
      <c r="C10" s="46"/>
      <c r="D10" s="4"/>
      <c r="E10" s="47">
        <v>57512.529411888</v>
      </c>
      <c r="F10" s="44">
        <v>0.99</v>
      </c>
      <c r="G10" s="4">
        <v>120</v>
      </c>
      <c r="H10" s="5">
        <v>0.01</v>
      </c>
      <c r="I10" s="5">
        <v>0.93</v>
      </c>
      <c r="J10" s="5">
        <v>0.03</v>
      </c>
      <c r="K10" s="5">
        <v>0.01</v>
      </c>
      <c r="L10" s="5">
        <v>0.006</v>
      </c>
      <c r="M10" s="5">
        <v>0.003</v>
      </c>
      <c r="N10" s="5">
        <v>0.007989719957461894</v>
      </c>
      <c r="O10" s="6">
        <v>0</v>
      </c>
      <c r="P10" s="7">
        <v>1E-06</v>
      </c>
      <c r="Q10" s="7">
        <v>1E-07</v>
      </c>
      <c r="R10" s="7">
        <v>1E-07</v>
      </c>
      <c r="S10" s="19">
        <v>0</v>
      </c>
      <c r="T10" s="2"/>
      <c r="U10" s="75" t="s">
        <v>50</v>
      </c>
      <c r="V10" s="4">
        <f>(100*L17)-98*((2.8*I17+1.18*J17+0.65*K17))</f>
        <v>0</v>
      </c>
      <c r="W10" s="47">
        <v>0</v>
      </c>
    </row>
    <row r="11" spans="2:23" ht="12.75">
      <c r="B11" s="40" t="s">
        <v>25</v>
      </c>
      <c r="C11" s="46"/>
      <c r="D11" s="4"/>
      <c r="E11" s="47">
        <v>0</v>
      </c>
      <c r="F11" s="44">
        <v>0.73</v>
      </c>
      <c r="G11" s="4">
        <v>230</v>
      </c>
      <c r="H11" s="5">
        <v>0.27</v>
      </c>
      <c r="I11" s="5">
        <v>0.11</v>
      </c>
      <c r="J11" s="5">
        <v>0.558</v>
      </c>
      <c r="K11" s="5">
        <v>0.0416</v>
      </c>
      <c r="L11" s="5">
        <v>0.001</v>
      </c>
      <c r="M11" s="5">
        <v>0.001</v>
      </c>
      <c r="N11" s="5">
        <v>0.0018775257001063454</v>
      </c>
      <c r="O11" s="6">
        <v>0</v>
      </c>
      <c r="P11" s="7">
        <v>0.001</v>
      </c>
      <c r="Q11" s="7">
        <v>0.001</v>
      </c>
      <c r="R11" s="7">
        <v>0.0001</v>
      </c>
      <c r="S11" s="19">
        <v>0</v>
      </c>
      <c r="T11" s="2"/>
      <c r="U11" s="75" t="s">
        <v>51</v>
      </c>
      <c r="V11" s="4">
        <f>0.07*(F17)-((2.65*J17-1.692*K17))</f>
        <v>-13682.141043255979</v>
      </c>
      <c r="W11" s="47">
        <v>0</v>
      </c>
    </row>
    <row r="12" spans="2:23" ht="12.75">
      <c r="B12" s="40" t="s">
        <v>27</v>
      </c>
      <c r="C12" s="46"/>
      <c r="D12" s="4"/>
      <c r="E12" s="47">
        <v>0</v>
      </c>
      <c r="F12" s="44">
        <v>0.92</v>
      </c>
      <c r="G12" s="4">
        <v>45</v>
      </c>
      <c r="H12" s="5">
        <v>0.08</v>
      </c>
      <c r="I12" s="5">
        <v>0.11</v>
      </c>
      <c r="J12" s="5">
        <v>0.06</v>
      </c>
      <c r="K12" s="5">
        <v>0.34</v>
      </c>
      <c r="L12" s="5">
        <v>0.28</v>
      </c>
      <c r="M12" s="5">
        <v>0.07</v>
      </c>
      <c r="N12" s="5">
        <v>0.29642679900744423</v>
      </c>
      <c r="O12" s="6">
        <v>0.0003</v>
      </c>
      <c r="P12" s="7">
        <v>0.006</v>
      </c>
      <c r="Q12" s="7">
        <v>0.0003</v>
      </c>
      <c r="R12" s="7">
        <v>0.0016</v>
      </c>
      <c r="S12" s="19">
        <v>0</v>
      </c>
      <c r="T12" s="2"/>
      <c r="U12" s="75" t="s">
        <v>52</v>
      </c>
      <c r="V12" s="4">
        <f>((2.65*J17-1.692*K17))-0.08*(F17)</f>
        <v>-4317.858956743992</v>
      </c>
      <c r="W12" s="47">
        <v>0</v>
      </c>
    </row>
    <row r="13" spans="2:23" ht="12.75">
      <c r="B13" s="38" t="s">
        <v>26</v>
      </c>
      <c r="C13" s="46"/>
      <c r="D13" s="4"/>
      <c r="E13" s="47">
        <v>0</v>
      </c>
      <c r="F13" s="45">
        <v>0.87</v>
      </c>
      <c r="G13" s="21">
        <v>85</v>
      </c>
      <c r="H13" s="22">
        <v>0.13</v>
      </c>
      <c r="I13" s="22">
        <v>0.09</v>
      </c>
      <c r="J13" s="22">
        <v>0.06</v>
      </c>
      <c r="K13" s="22">
        <v>0.68</v>
      </c>
      <c r="L13" s="22">
        <v>0.02</v>
      </c>
      <c r="M13" s="22">
        <v>0.008</v>
      </c>
      <c r="N13" s="22">
        <v>0.024448777029422192</v>
      </c>
      <c r="O13" s="23">
        <v>0.0001</v>
      </c>
      <c r="P13" s="24">
        <v>0</v>
      </c>
      <c r="Q13" s="24">
        <v>0.003</v>
      </c>
      <c r="R13" s="24">
        <v>0.003</v>
      </c>
      <c r="S13" s="25">
        <v>0</v>
      </c>
      <c r="T13" s="2"/>
      <c r="U13" s="75" t="s">
        <v>53</v>
      </c>
      <c r="V13" s="4">
        <f>0.18*(F17)-((3*J17+2.25*K17))</f>
        <v>-36000.000000000175</v>
      </c>
      <c r="W13" s="47">
        <v>0</v>
      </c>
    </row>
    <row r="14" spans="2:23" ht="12.75">
      <c r="B14" s="39" t="s">
        <v>28</v>
      </c>
      <c r="C14" s="46"/>
      <c r="D14" s="4"/>
      <c r="E14" s="47">
        <v>0</v>
      </c>
      <c r="F14" s="43">
        <v>0.15</v>
      </c>
      <c r="G14" s="14">
        <v>1000</v>
      </c>
      <c r="H14" s="15">
        <v>0.85</v>
      </c>
      <c r="I14" s="15">
        <v>0.08</v>
      </c>
      <c r="J14" s="15">
        <v>0.06</v>
      </c>
      <c r="K14" s="15">
        <v>0.01</v>
      </c>
      <c r="L14" s="15">
        <v>0</v>
      </c>
      <c r="M14" s="15">
        <v>0</v>
      </c>
      <c r="N14" s="15">
        <v>2.5</v>
      </c>
      <c r="O14" s="16">
        <v>0.0004</v>
      </c>
      <c r="P14" s="17">
        <v>0.007</v>
      </c>
      <c r="Q14" s="17">
        <v>0.0005</v>
      </c>
      <c r="R14" s="17">
        <v>0.004</v>
      </c>
      <c r="S14" s="18">
        <v>26</v>
      </c>
      <c r="T14" s="2"/>
      <c r="U14" s="75" t="s">
        <v>54</v>
      </c>
      <c r="V14" s="4">
        <f>((3*J17+2.25*K17))-0.2*(F17)</f>
        <v>0</v>
      </c>
      <c r="W14" s="47">
        <v>0</v>
      </c>
    </row>
    <row r="15" spans="2:23" ht="12.75">
      <c r="B15" s="40" t="s">
        <v>30</v>
      </c>
      <c r="C15" s="46"/>
      <c r="D15" s="4"/>
      <c r="E15" s="47">
        <v>153714.28571428565</v>
      </c>
      <c r="F15" s="44">
        <v>0.01</v>
      </c>
      <c r="G15" s="4">
        <v>1100</v>
      </c>
      <c r="H15" s="5">
        <v>0.01</v>
      </c>
      <c r="I15" s="5">
        <v>0.01</v>
      </c>
      <c r="J15" s="5">
        <v>0</v>
      </c>
      <c r="K15" s="5">
        <v>0</v>
      </c>
      <c r="L15" s="5">
        <v>0</v>
      </c>
      <c r="M15" s="5">
        <v>0</v>
      </c>
      <c r="N15" s="5">
        <v>3.2</v>
      </c>
      <c r="O15" s="6">
        <v>0.0001</v>
      </c>
      <c r="P15" s="7">
        <v>0.12</v>
      </c>
      <c r="Q15" s="7">
        <v>0</v>
      </c>
      <c r="R15" s="7">
        <v>0.001</v>
      </c>
      <c r="S15" s="19">
        <v>35</v>
      </c>
      <c r="T15" s="2"/>
      <c r="U15" s="75"/>
      <c r="V15" s="4"/>
      <c r="W15" s="47"/>
    </row>
    <row r="16" spans="2:23" ht="12.75">
      <c r="B16" s="38" t="s">
        <v>29</v>
      </c>
      <c r="C16" s="48"/>
      <c r="D16" s="21">
        <v>20000</v>
      </c>
      <c r="E16" s="49">
        <v>20000</v>
      </c>
      <c r="F16" s="45">
        <v>0.1</v>
      </c>
      <c r="G16" s="21">
        <v>250</v>
      </c>
      <c r="H16" s="22">
        <v>0.1</v>
      </c>
      <c r="I16" s="22">
        <v>0.08</v>
      </c>
      <c r="J16" s="22"/>
      <c r="K16" s="22"/>
      <c r="L16" s="22">
        <v>0.02</v>
      </c>
      <c r="M16" s="22"/>
      <c r="N16" s="22">
        <v>0.015714285714285715</v>
      </c>
      <c r="O16" s="23">
        <v>0.006</v>
      </c>
      <c r="P16" s="24">
        <v>0.009</v>
      </c>
      <c r="Q16" s="24">
        <v>0.003</v>
      </c>
      <c r="R16" s="24">
        <v>0.002</v>
      </c>
      <c r="S16" s="25">
        <v>19</v>
      </c>
      <c r="T16" s="2"/>
      <c r="U16" s="75"/>
      <c r="V16" s="4"/>
      <c r="W16" s="47"/>
    </row>
    <row r="17" spans="2:23" ht="12.75">
      <c r="B17" s="80" t="s">
        <v>60</v>
      </c>
      <c r="C17" s="81"/>
      <c r="D17" s="81"/>
      <c r="E17" s="33">
        <f>SUM($E$4:$E$16)</f>
        <v>2971773.469052141</v>
      </c>
      <c r="F17" s="50">
        <f aca="true" t="shared" si="0" ref="F17:S17">SUMPRODUCT($E$4:$E$16,F$4:F$16)</f>
        <v>1799999.9999999998</v>
      </c>
      <c r="G17" s="32">
        <f t="shared" si="0"/>
        <v>209777391.12572145</v>
      </c>
      <c r="H17" s="32">
        <f t="shared" si="0"/>
        <v>1005133.4690521412</v>
      </c>
      <c r="I17" s="32">
        <f t="shared" si="0"/>
        <v>398470.45473304327</v>
      </c>
      <c r="J17" s="32">
        <f t="shared" si="0"/>
        <v>83653.10661297514</v>
      </c>
      <c r="K17" s="32">
        <f t="shared" si="0"/>
        <v>48462.524516033176</v>
      </c>
      <c r="L17" s="32">
        <f t="shared" si="0"/>
        <v>1221010.0083914278</v>
      </c>
      <c r="M17" s="32">
        <f t="shared" si="0"/>
        <v>20712.204048322394</v>
      </c>
      <c r="N17" s="32">
        <f t="shared" si="0"/>
        <v>1473864.5416761546</v>
      </c>
      <c r="O17" s="32">
        <f t="shared" si="0"/>
        <v>135.37142857142857</v>
      </c>
      <c r="P17" s="32">
        <f t="shared" si="0"/>
        <v>33655.478061762435</v>
      </c>
      <c r="Q17" s="32">
        <f t="shared" si="0"/>
        <v>6452.660021597478</v>
      </c>
      <c r="R17" s="32">
        <f t="shared" si="0"/>
        <v>16579.266183090927</v>
      </c>
      <c r="S17" s="33">
        <f t="shared" si="0"/>
        <v>5759999.999999998</v>
      </c>
      <c r="T17" s="8"/>
      <c r="U17" s="75"/>
      <c r="V17" s="4"/>
      <c r="W17" s="47"/>
    </row>
    <row r="18" spans="2:23" ht="12.75">
      <c r="B18" s="82" t="s">
        <v>61</v>
      </c>
      <c r="C18" s="83"/>
      <c r="D18" s="83"/>
      <c r="E18" s="35">
        <f>SUM($E$4:$E$13)</f>
        <v>2798059.1833378556</v>
      </c>
      <c r="F18" s="51">
        <f>SUMPRODUCT($E$4:$E$13,F$4:F$13)</f>
        <v>1796462.8571428568</v>
      </c>
      <c r="G18" s="3">
        <f aca="true" t="shared" si="1" ref="G18:S18">SUMPRODUCT($E$4:$E$13,G$4:G$13)</f>
        <v>35691676.840007246</v>
      </c>
      <c r="H18" s="3">
        <f t="shared" si="1"/>
        <v>1001596.3261949983</v>
      </c>
      <c r="I18" s="3">
        <f t="shared" si="1"/>
        <v>395333.3118759004</v>
      </c>
      <c r="J18" s="3">
        <f t="shared" si="1"/>
        <v>83653.10661297514</v>
      </c>
      <c r="K18" s="3">
        <f t="shared" si="1"/>
        <v>48462.524516033176</v>
      </c>
      <c r="L18" s="3">
        <f t="shared" si="1"/>
        <v>1220610.0083914278</v>
      </c>
      <c r="M18" s="3">
        <f t="shared" si="1"/>
        <v>20712.204048322394</v>
      </c>
      <c r="N18" s="3">
        <f t="shared" si="1"/>
        <v>981664.541676155</v>
      </c>
      <c r="O18" s="3">
        <f t="shared" si="1"/>
        <v>0</v>
      </c>
      <c r="P18" s="3">
        <f t="shared" si="1"/>
        <v>15029.763776048154</v>
      </c>
      <c r="Q18" s="3">
        <f t="shared" si="1"/>
        <v>6392.660021597478</v>
      </c>
      <c r="R18" s="3">
        <f t="shared" si="1"/>
        <v>16385.55189737664</v>
      </c>
      <c r="S18" s="35">
        <f t="shared" si="1"/>
        <v>0</v>
      </c>
      <c r="T18" s="8"/>
      <c r="U18" s="75"/>
      <c r="V18" s="4"/>
      <c r="W18" s="47"/>
    </row>
    <row r="19" spans="2:23" ht="12.75">
      <c r="B19" s="84" t="s">
        <v>62</v>
      </c>
      <c r="C19" s="85"/>
      <c r="D19" s="85"/>
      <c r="E19" s="37">
        <f>SUM($E$14:$E$16)</f>
        <v>173714.28571428565</v>
      </c>
      <c r="F19" s="52">
        <f>SUMPRODUCT($E$14:$E$16,F$14:F$16)</f>
        <v>3537.142857142857</v>
      </c>
      <c r="G19" s="36">
        <f aca="true" t="shared" si="2" ref="G19:S19">SUMPRODUCT($E$14:$E$16,G$14:G$16)</f>
        <v>174085714.2857142</v>
      </c>
      <c r="H19" s="36">
        <f t="shared" si="2"/>
        <v>3537.142857142857</v>
      </c>
      <c r="I19" s="36">
        <f t="shared" si="2"/>
        <v>3137.142857142857</v>
      </c>
      <c r="J19" s="36">
        <f t="shared" si="2"/>
        <v>0</v>
      </c>
      <c r="K19" s="36">
        <f t="shared" si="2"/>
        <v>0</v>
      </c>
      <c r="L19" s="36">
        <f t="shared" si="2"/>
        <v>400</v>
      </c>
      <c r="M19" s="36">
        <f t="shared" si="2"/>
        <v>0</v>
      </c>
      <c r="N19" s="36">
        <f t="shared" si="2"/>
        <v>492199.9999999998</v>
      </c>
      <c r="O19" s="36">
        <f t="shared" si="2"/>
        <v>135.37142857142857</v>
      </c>
      <c r="P19" s="36">
        <f t="shared" si="2"/>
        <v>18625.71428571428</v>
      </c>
      <c r="Q19" s="36">
        <f t="shared" si="2"/>
        <v>60</v>
      </c>
      <c r="R19" s="36">
        <f t="shared" si="2"/>
        <v>193.71428571428567</v>
      </c>
      <c r="S19" s="37">
        <f t="shared" si="2"/>
        <v>5759999.999999998</v>
      </c>
      <c r="T19" s="8"/>
      <c r="U19" s="75"/>
      <c r="V19" s="4"/>
      <c r="W19" s="47"/>
    </row>
    <row r="20" spans="21:23" ht="12.75">
      <c r="U20" s="75"/>
      <c r="V20" s="4"/>
      <c r="W20" s="47"/>
    </row>
    <row r="21" spans="2:23" ht="12.75">
      <c r="B21" s="72" t="s">
        <v>55</v>
      </c>
      <c r="C21" s="41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8"/>
      <c r="U21" s="75"/>
      <c r="V21" s="4"/>
      <c r="W21" s="47"/>
    </row>
    <row r="22" spans="2:23" ht="12.75">
      <c r="B22" s="73" t="s">
        <v>39</v>
      </c>
      <c r="C22" s="42" t="s">
        <v>38</v>
      </c>
      <c r="D22" s="30" t="s">
        <v>37</v>
      </c>
      <c r="E22" s="30" t="s">
        <v>36</v>
      </c>
      <c r="F22" s="30" t="s">
        <v>31</v>
      </c>
      <c r="G22" s="30" t="s">
        <v>32</v>
      </c>
      <c r="H22" s="30" t="s">
        <v>33</v>
      </c>
      <c r="I22" s="30" t="s">
        <v>34</v>
      </c>
      <c r="J22" s="30" t="s">
        <v>35</v>
      </c>
      <c r="K22" s="30" t="s">
        <v>57</v>
      </c>
      <c r="L22" s="30" t="s">
        <v>63</v>
      </c>
      <c r="M22" s="30"/>
      <c r="N22" s="30"/>
      <c r="O22" s="30"/>
      <c r="P22" s="30"/>
      <c r="Q22" s="30"/>
      <c r="R22" s="30"/>
      <c r="S22" s="31"/>
      <c r="U22" s="75"/>
      <c r="V22" s="4"/>
      <c r="W22" s="47"/>
    </row>
    <row r="23" spans="2:23" ht="12.75">
      <c r="B23" s="73" t="s">
        <v>40</v>
      </c>
      <c r="C23" s="69">
        <f>F17</f>
        <v>1799999.9999999998</v>
      </c>
      <c r="D23" s="66">
        <f>G17/F17</f>
        <v>116.54299506984526</v>
      </c>
      <c r="E23" s="66">
        <f>S17/F17</f>
        <v>3.1999999999999993</v>
      </c>
      <c r="F23" s="66">
        <f>100*L17/(2.8*I17+1.18*J17+0.65*K17)</f>
        <v>97.99999999999997</v>
      </c>
      <c r="G23" s="66">
        <f>(-7.601*I17-6.718*J17-1.43*K17+4.071*L17-2.852*P17+3.684*Q17+2.424*R17)/F17</f>
        <v>0.7103606415372097</v>
      </c>
      <c r="H23" s="67">
        <f>(2.65*J17-1.692*K17)/F17</f>
        <v>0.07760118946847555</v>
      </c>
      <c r="I23" s="67">
        <f>(3*J17+2.25*K17)/F17</f>
        <v>0.2000000000000001</v>
      </c>
      <c r="J23" s="66">
        <f>77.42*P17/(Q17+0.658*R17)</f>
        <v>150.0768661493137</v>
      </c>
      <c r="K23" s="68">
        <f>P17/F17</f>
        <v>0.018697487812090244</v>
      </c>
      <c r="L23" s="66">
        <f>S19/E19</f>
        <v>33.15789473684211</v>
      </c>
      <c r="M23" s="66"/>
      <c r="N23" s="66"/>
      <c r="O23" s="66"/>
      <c r="P23" s="66"/>
      <c r="Q23" s="66"/>
      <c r="R23" s="66"/>
      <c r="S23" s="60"/>
      <c r="U23" s="75"/>
      <c r="V23" s="4"/>
      <c r="W23" s="47"/>
    </row>
    <row r="24" spans="2:23" ht="12.75">
      <c r="B24" s="73" t="s">
        <v>1</v>
      </c>
      <c r="C24" s="70">
        <v>1800000</v>
      </c>
      <c r="D24" s="10"/>
      <c r="E24" s="10">
        <v>3.2</v>
      </c>
      <c r="F24" s="10">
        <v>98</v>
      </c>
      <c r="G24" s="10"/>
      <c r="H24" s="11">
        <v>0.07</v>
      </c>
      <c r="I24" s="11">
        <v>0.18</v>
      </c>
      <c r="J24" s="10"/>
      <c r="K24" s="10"/>
      <c r="L24" s="10"/>
      <c r="M24" s="10"/>
      <c r="N24" s="10"/>
      <c r="O24" s="10"/>
      <c r="P24" s="10"/>
      <c r="Q24" s="10"/>
      <c r="R24" s="10"/>
      <c r="S24" s="53"/>
      <c r="U24" s="75"/>
      <c r="V24" s="4"/>
      <c r="W24" s="47"/>
    </row>
    <row r="25" spans="2:23" ht="12.75">
      <c r="B25" s="74" t="s">
        <v>2</v>
      </c>
      <c r="C25" s="71">
        <v>1800000</v>
      </c>
      <c r="D25" s="54"/>
      <c r="E25" s="54">
        <v>3.2</v>
      </c>
      <c r="F25" s="54">
        <v>98</v>
      </c>
      <c r="G25" s="54"/>
      <c r="H25" s="55">
        <v>0.08</v>
      </c>
      <c r="I25" s="55">
        <v>0.2</v>
      </c>
      <c r="J25" s="54"/>
      <c r="K25" s="54"/>
      <c r="L25" s="54"/>
      <c r="M25" s="54"/>
      <c r="N25" s="54"/>
      <c r="O25" s="54"/>
      <c r="P25" s="54"/>
      <c r="Q25" s="54"/>
      <c r="R25" s="54"/>
      <c r="S25" s="56"/>
      <c r="U25" s="75"/>
      <c r="V25" s="4"/>
      <c r="W25" s="47"/>
    </row>
    <row r="26" spans="21:23" ht="12.75">
      <c r="U26" s="75"/>
      <c r="V26" s="4"/>
      <c r="W26" s="47"/>
    </row>
    <row r="27" spans="21:23" ht="12.75">
      <c r="U27" s="75"/>
      <c r="V27" s="4"/>
      <c r="W27" s="47"/>
    </row>
    <row r="28" spans="21:23" ht="12.75">
      <c r="U28" s="75"/>
      <c r="V28" s="4"/>
      <c r="W28" s="47"/>
    </row>
    <row r="29" spans="21:23" ht="12.75">
      <c r="U29" s="75"/>
      <c r="V29" s="4"/>
      <c r="W29" s="47"/>
    </row>
    <row r="30" spans="21:23" ht="12.75">
      <c r="U30" s="75"/>
      <c r="V30" s="4"/>
      <c r="W30" s="47"/>
    </row>
    <row r="31" spans="21:23" ht="12.75">
      <c r="U31" s="75"/>
      <c r="V31" s="4"/>
      <c r="W31" s="47"/>
    </row>
    <row r="32" spans="21:23" ht="12.75">
      <c r="U32" s="75"/>
      <c r="V32" s="4"/>
      <c r="W32" s="47"/>
    </row>
    <row r="33" spans="2:23" ht="12.75">
      <c r="B33" s="12"/>
      <c r="U33" s="75"/>
      <c r="V33" s="4"/>
      <c r="W33" s="47"/>
    </row>
    <row r="34" spans="21:23" ht="12.75">
      <c r="U34" s="75"/>
      <c r="V34" s="4"/>
      <c r="W34" s="47"/>
    </row>
    <row r="35" spans="21:23" ht="12.75">
      <c r="U35" s="75"/>
      <c r="V35" s="4"/>
      <c r="W35" s="47"/>
    </row>
    <row r="36" spans="21:23" ht="12.75">
      <c r="U36" s="75"/>
      <c r="V36" s="4"/>
      <c r="W36" s="47"/>
    </row>
    <row r="37" spans="21:23" ht="12.75">
      <c r="U37" s="75"/>
      <c r="V37" s="4"/>
      <c r="W37" s="47"/>
    </row>
    <row r="38" spans="21:23" ht="12.75">
      <c r="U38" s="75"/>
      <c r="V38" s="4"/>
      <c r="W38" s="47"/>
    </row>
    <row r="39" spans="21:23" ht="12.75">
      <c r="U39" s="75"/>
      <c r="V39" s="4"/>
      <c r="W39" s="47"/>
    </row>
    <row r="40" spans="21:23" ht="12.75">
      <c r="U40" s="75"/>
      <c r="V40" s="4"/>
      <c r="W40" s="47"/>
    </row>
    <row r="41" spans="21:23" ht="12.75">
      <c r="U41" s="75"/>
      <c r="V41" s="4"/>
      <c r="W41" s="47"/>
    </row>
    <row r="42" spans="21:23" ht="12.75">
      <c r="U42" s="75"/>
      <c r="V42" s="4"/>
      <c r="W42" s="47"/>
    </row>
    <row r="43" spans="21:23" ht="12.75">
      <c r="U43" s="75"/>
      <c r="V43" s="4"/>
      <c r="W43" s="47"/>
    </row>
    <row r="44" spans="21:23" ht="12.75">
      <c r="U44" s="75"/>
      <c r="V44" s="4"/>
      <c r="W44" s="47"/>
    </row>
    <row r="45" spans="4:23" ht="12.75">
      <c r="D45" s="13"/>
      <c r="U45" s="75"/>
      <c r="V45" s="4"/>
      <c r="W45" s="47"/>
    </row>
    <row r="46" spans="4:23" ht="12.75">
      <c r="D46" s="13"/>
      <c r="U46" s="75"/>
      <c r="V46" s="4"/>
      <c r="W46" s="47"/>
    </row>
    <row r="47" spans="21:23" ht="12.75">
      <c r="U47" s="75"/>
      <c r="V47" s="4"/>
      <c r="W47" s="47"/>
    </row>
    <row r="48" spans="21:23" ht="12.75">
      <c r="U48" s="75"/>
      <c r="V48" s="4"/>
      <c r="W48" s="47"/>
    </row>
    <row r="49" spans="21:23" ht="12.75">
      <c r="U49" s="75"/>
      <c r="V49" s="4"/>
      <c r="W49" s="47"/>
    </row>
    <row r="50" spans="21:23" ht="12.75">
      <c r="U50" s="75"/>
      <c r="V50" s="4"/>
      <c r="W50" s="47"/>
    </row>
    <row r="51" spans="21:23" ht="12.75">
      <c r="U51" s="75"/>
      <c r="V51" s="4"/>
      <c r="W51" s="47"/>
    </row>
    <row r="52" spans="21:23" ht="12.75">
      <c r="U52" s="75"/>
      <c r="V52" s="4"/>
      <c r="W52" s="47"/>
    </row>
    <row r="53" spans="21:23" ht="12.75">
      <c r="U53" s="75"/>
      <c r="V53" s="4"/>
      <c r="W53" s="47"/>
    </row>
    <row r="54" spans="21:23" ht="12.75">
      <c r="U54" s="75"/>
      <c r="V54" s="4"/>
      <c r="W54" s="47"/>
    </row>
    <row r="55" spans="21:23" ht="12.75">
      <c r="U55" s="76"/>
      <c r="V55" s="21"/>
      <c r="W55" s="49"/>
    </row>
  </sheetData>
  <sheetProtection/>
  <mergeCells count="4">
    <mergeCell ref="U2:W2"/>
    <mergeCell ref="B17:D17"/>
    <mergeCell ref="B18:D18"/>
    <mergeCell ref="B19:D19"/>
  </mergeCells>
  <conditionalFormatting sqref="U4:U55">
    <cfRule type="expression" priority="1" dxfId="1" stopIfTrue="1">
      <formula>$V4+0&gt;$W4+0.000001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1900-12-31T23:00:00Z</cp:lastPrinted>
  <dcterms:created xsi:type="dcterms:W3CDTF">1900-12-31T23:00:00Z</dcterms:created>
  <dcterms:modified xsi:type="dcterms:W3CDTF">2012-04-23T20:36:51Z</dcterms:modified>
  <cp:category/>
  <cp:version/>
  <cp:contentType/>
  <cp:contentStatus/>
</cp:coreProperties>
</file>